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<sst xmlns="http://schemas.openxmlformats.org/spreadsheetml/2006/main" count="57" uniqueCount="57">
  <si>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Приложение № 2 </t>
  </si>
  <si>
    <t>Финансовое  обеспечение выполнения муниципального задания.</t>
  </si>
  <si>
    <t>№ п/п</t>
  </si>
  <si>
    <t>Наименование учреждения</t>
  </si>
  <si>
    <t>Расчет нормативных затрат на оказание муниципальных образовательных услуг</t>
  </si>
  <si>
    <t>Среднегодовое кол-во учащихся, воспитанников (чел.), организаций (шт.)</t>
  </si>
  <si>
    <t>Площадь здания (кв.м.)</t>
  </si>
  <si>
    <t>Количество единиц особо ценного движимого имущества (ед.)</t>
  </si>
  <si>
    <t>Остаточная стоимость имущества по состоянию на начало года (тыс.руб.)</t>
  </si>
  <si>
    <t>Нормативные затраты на оказание муниципальных услуг, тыс.руб.</t>
  </si>
  <si>
    <t>норматив на оказание муниципальных услуг, тыс.руб.</t>
  </si>
  <si>
    <t>Нормативные затраты на содержание недвижимого имущества, тыс.руб.</t>
  </si>
  <si>
    <t>норматив на содержание недвижимого имущества, тыс.руб.</t>
  </si>
  <si>
    <t>Нормативные затраты на содержание особо ценного движимого имущества, тыс.руб.</t>
  </si>
  <si>
    <t>Норматив на содержание особо ценного движимого имущества, тыс.руб.</t>
  </si>
  <si>
    <t>Нормативные затраты на уплату налогов, тыс.руб.</t>
  </si>
  <si>
    <t>Норматив на уплату налогов, тыс.руб.</t>
  </si>
  <si>
    <t>1.</t>
  </si>
  <si>
    <t>МАОУСОШ №1 п.Хвойная</t>
  </si>
  <si>
    <t>2.</t>
  </si>
  <si>
    <t>МАОУСОШ №2 п.Хвойная</t>
  </si>
  <si>
    <t>3.</t>
  </si>
  <si>
    <t>МАОУСОШ с.Песь</t>
  </si>
  <si>
    <t>4.</t>
  </si>
  <si>
    <t>МАОУСОШ с.Анциферово</t>
  </si>
  <si>
    <t>5.</t>
  </si>
  <si>
    <t>МАОУСОШ с.Левоча</t>
  </si>
  <si>
    <t>6.</t>
  </si>
  <si>
    <t>МАОУСОШ п.Юбилейный</t>
  </si>
  <si>
    <t>9.</t>
  </si>
  <si>
    <t>Итого школы:</t>
  </si>
  <si>
    <t>11.</t>
  </si>
  <si>
    <t>МАДОУ №1 п.Хвойная</t>
  </si>
  <si>
    <t>12.</t>
  </si>
  <si>
    <t>МАДОУ №2 п.Хвойная</t>
  </si>
  <si>
    <t>14.</t>
  </si>
  <si>
    <t>МАДОУ п.Песь</t>
  </si>
  <si>
    <t>15.</t>
  </si>
  <si>
    <t>МАДОУ с.Левоча</t>
  </si>
  <si>
    <t>16.</t>
  </si>
  <si>
    <t>МАДОУ п.Юбилейный</t>
  </si>
  <si>
    <t>18.</t>
  </si>
  <si>
    <t>МАДОУ д.Дворищи</t>
  </si>
  <si>
    <t>19.</t>
  </si>
  <si>
    <t>Итого детские сады:</t>
  </si>
  <si>
    <t>21.</t>
  </si>
  <si>
    <t>МАОУ ДОД ДДТ</t>
  </si>
  <si>
    <t>22.</t>
  </si>
  <si>
    <t xml:space="preserve">МАОУ ДОД ДЮСШ </t>
  </si>
  <si>
    <t>23.</t>
  </si>
  <si>
    <t>МАУ ЦФМСОУ</t>
  </si>
  <si>
    <t xml:space="preserve">                       </t>
  </si>
  <si>
    <t>к приказу № 7 от 19.01.2015</t>
  </si>
  <si>
    <t>8=7:3</t>
  </si>
  <si>
    <t>10=9:4</t>
  </si>
  <si>
    <t>12=11:5</t>
  </si>
  <si>
    <t>14=13:6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</si>
</sst>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vertical="center" textRotation="90"/>
    </xf>
    <xf numFmtId="2" fontId="4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/>
    </xf>
    <xf numFmtId="165" fontId="4" fillId="34" borderId="10" xfId="0" applyNumberFormat="1" applyFont="1" applyFill="1" applyBorder="1" applyAlignment="1">
      <alignment horizontal="center"/>
    </xf>
    <xf numFmtId="165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C1">
      <selection activeCell="R32" sqref="R32"/>
    </sheetView>
  </sheetViews>
  <sheetFormatPr defaultColWidth="9.00390625" defaultRowHeight="12.75"/>
  <cols>
    <col min="1" max="1" width="3.00390625" style="0" customWidth="1"/>
    <col min="2" max="2" width="21.125" style="0" customWidth="1"/>
    <col min="3" max="4" width="7.125" style="0" customWidth="1"/>
    <col min="5" max="5" width="7.00390625" style="0" customWidth="1"/>
    <col min="6" max="6" width="8.00390625" style="0" customWidth="1"/>
    <col min="7" max="7" width="12.625" style="0" customWidth="1"/>
    <col min="8" max="8" width="6.625" style="0" customWidth="1"/>
    <col min="9" max="9" width="11.75390625" style="0" customWidth="1"/>
    <col min="10" max="10" width="6.75390625" style="0" customWidth="1"/>
    <col min="11" max="11" width="13.25390625" style="0" customWidth="1"/>
    <col min="12" max="12" width="7.25390625" style="0" customWidth="1"/>
    <col min="13" max="13" width="12.375" style="0" customWidth="1"/>
    <col min="14" max="14" width="7.00390625" style="0" customWidth="1"/>
    <col min="15" max="15" width="7.25390625" style="0" customWidth="1"/>
    <col min="16" max="16" width="9.75390625" style="0" customWidth="1"/>
    <col min="17" max="17" width="12.875" style="0" customWidth="1"/>
    <col min="18" max="18" width="20.125" style="0" customWidth="1"/>
    <col min="19" max="19" width="20.875" style="0" customWidth="1"/>
    <col min="20" max="20" width="25.25390625" style="0" customWidth="1"/>
    <col min="21" max="21" width="30.625" style="0" customWidth="1"/>
    <col min="22" max="22" width="50.125" style="0" customWidth="1"/>
    <col min="23" max="23" width="25.25390625" style="0" customWidth="1"/>
    <col min="24" max="24" width="35.25390625" style="0" customWidth="1"/>
  </cols>
  <sheetData>
    <row r="1" spans="12:14" ht="11.25" customHeight="1">
      <c r="L1" s="26" t="s">
        <v>0</v>
      </c>
      <c r="M1" s="26"/>
      <c r="N1" s="26"/>
    </row>
    <row r="2" spans="12:14" ht="10.5" customHeight="1">
      <c r="L2" s="27" t="s">
        <v>52</v>
      </c>
      <c r="M2" s="26"/>
      <c r="N2" s="26"/>
    </row>
    <row r="3" spans="1:15" ht="14.25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"/>
      <c r="O3" s="2"/>
    </row>
    <row r="4" spans="1:15" ht="12.75" customHeight="1">
      <c r="A4" s="29" t="s">
        <v>2</v>
      </c>
      <c r="B4" s="30" t="s">
        <v>3</v>
      </c>
      <c r="C4" s="30" t="s">
        <v>4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5"/>
    </row>
    <row r="5" spans="1:16" ht="128.25" customHeight="1">
      <c r="A5" s="29"/>
      <c r="B5" s="30"/>
      <c r="C5" s="6" t="s">
        <v>5</v>
      </c>
      <c r="D5" s="6" t="s">
        <v>6</v>
      </c>
      <c r="E5" s="6" t="s">
        <v>7</v>
      </c>
      <c r="F5" s="7" t="s">
        <v>8</v>
      </c>
      <c r="G5" s="4" t="s">
        <v>9</v>
      </c>
      <c r="H5" s="6" t="s">
        <v>10</v>
      </c>
      <c r="I5" s="4" t="s">
        <v>11</v>
      </c>
      <c r="J5" s="6" t="s">
        <v>12</v>
      </c>
      <c r="K5" s="4" t="s">
        <v>13</v>
      </c>
      <c r="L5" s="6" t="s">
        <v>14</v>
      </c>
      <c r="M5" s="4" t="s">
        <v>15</v>
      </c>
      <c r="N5" s="6" t="s">
        <v>16</v>
      </c>
      <c r="O5" s="21"/>
      <c r="P5" s="21"/>
    </row>
    <row r="6" spans="1:14" ht="12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 t="s">
        <v>53</v>
      </c>
      <c r="I6" s="4">
        <v>9</v>
      </c>
      <c r="J6" s="4" t="s">
        <v>54</v>
      </c>
      <c r="K6" s="4">
        <v>11</v>
      </c>
      <c r="L6" s="4" t="s">
        <v>55</v>
      </c>
      <c r="M6" s="4">
        <v>13</v>
      </c>
      <c r="N6" s="4" t="s">
        <v>56</v>
      </c>
    </row>
    <row r="7" spans="1:16" ht="12.75">
      <c r="A7" s="8" t="s">
        <v>17</v>
      </c>
      <c r="B7" s="9" t="s">
        <v>18</v>
      </c>
      <c r="C7" s="22">
        <f>(289*2+308)/3</f>
        <v>295.3333333333333</v>
      </c>
      <c r="D7" s="22">
        <v>2770</v>
      </c>
      <c r="E7" s="22">
        <v>1</v>
      </c>
      <c r="F7" s="24">
        <v>18065.6338</v>
      </c>
      <c r="G7" s="10">
        <f>6855.1+2001.7+871.1+254.4+122.5+37+84+297+26+45.8+165.8+48.4+15.7+43.6+0.6+(418.9+1675.5)*0.5+(105+14.1+9+420+56.3+36)*0.7+60.3</f>
        <v>12424.480000000001</v>
      </c>
      <c r="H7" s="11">
        <f aca="true" t="shared" si="0" ref="H7:H13">G7/C7</f>
        <v>42.0693453724605</v>
      </c>
      <c r="I7" s="10">
        <f>(418.9+1675.5)*0.5+(105+14.1+9+420+56.3+36)*0.3+11.5</f>
        <v>1250.82</v>
      </c>
      <c r="J7" s="11">
        <f>I7/D7</f>
        <v>0.4515595667870036</v>
      </c>
      <c r="K7" s="10">
        <f>24.5+279.1+18.5+15+9.7</f>
        <v>346.8</v>
      </c>
      <c r="L7" s="12">
        <f>K7/E7</f>
        <v>346.8</v>
      </c>
      <c r="M7" s="10">
        <v>313</v>
      </c>
      <c r="N7" s="11">
        <f>M7/F7</f>
        <v>0.0173257137538125</v>
      </c>
      <c r="P7" s="20"/>
    </row>
    <row r="8" spans="1:16" ht="12.75">
      <c r="A8" s="8" t="s">
        <v>19</v>
      </c>
      <c r="B8" s="9" t="s">
        <v>20</v>
      </c>
      <c r="C8" s="22">
        <f>(459*2+480)/3+40+24</f>
        <v>530</v>
      </c>
      <c r="D8" s="22">
        <v>3957</v>
      </c>
      <c r="E8" s="22">
        <v>2</v>
      </c>
      <c r="F8" s="24">
        <v>3629.18616</v>
      </c>
      <c r="G8" s="10">
        <f>11254.2+1362+309.1+3286.2+397.7+90.3+1168.1+588+78.4+341.1+171.7+22.9+250.8+75.7+66.6+675+5.5+9+41+3.9+1+72.2+8.6+1.9+331.5+96.8+31.4+0.6+10+(644.1+2576.1+2.2+1.4+8.6+5.8)*0.5+(89.4+11.8+3+357.8+47.3+12)*0.7+90.4</f>
        <v>22825.61</v>
      </c>
      <c r="H8" s="11">
        <f t="shared" si="0"/>
        <v>43.067188679245284</v>
      </c>
      <c r="I8" s="10">
        <f>(644.1+2.2+1.4+2576.1+8.6+5.8)*0.5+(89.4+11.8+3+357.8+47.3+12)*0.3+17.9+8.6+0.5</f>
        <v>1802.4900000000002</v>
      </c>
      <c r="J8" s="11">
        <f aca="true" t="shared" si="1" ref="J8:J24">I8/D8</f>
        <v>0.45551933282789997</v>
      </c>
      <c r="K8" s="10">
        <f>49+602.2+37+30+21.4</f>
        <v>739.6</v>
      </c>
      <c r="L8" s="12">
        <f aca="true" t="shared" si="2" ref="L8:L13">K8/E8</f>
        <v>369.8</v>
      </c>
      <c r="M8" s="10">
        <v>81</v>
      </c>
      <c r="N8" s="11">
        <f aca="true" t="shared" si="3" ref="N8:N25">M8/F8</f>
        <v>0.022319053481676454</v>
      </c>
      <c r="P8" s="20"/>
    </row>
    <row r="9" spans="1:16" ht="12.75">
      <c r="A9" s="8" t="s">
        <v>21</v>
      </c>
      <c r="B9" s="9" t="s">
        <v>22</v>
      </c>
      <c r="C9" s="22">
        <f>(148*2+152)/3+(36*2+40)/3+(24*2+19)/3</f>
        <v>209.00000000000003</v>
      </c>
      <c r="D9" s="22">
        <f>3962+1348</f>
        <v>5310</v>
      </c>
      <c r="E9" s="22">
        <v>2</v>
      </c>
      <c r="F9" s="24">
        <v>2170.77449</v>
      </c>
      <c r="G9" s="10">
        <f>5011.7+2371.5+1190.9+1463.4+692.5+347.7+719.8+903.6+459.4+210.2+263.9+134.1+109.8+26.5+33.2+8+54+24+360+60+5.5+150.2+13.1+3.3+2.1+7.7+47.5+38.6+4.8+165.8+165.7+48.4+48.4+15.7+13.5+0.6+10+(553.4+2213.6+228+912)*0.5+(130.7+15+3+522.3+60+12)*0.7+23.4+6.8</f>
        <v>17688.9</v>
      </c>
      <c r="H9" s="11">
        <f t="shared" si="0"/>
        <v>84.63588516746411</v>
      </c>
      <c r="I9" s="10">
        <f>(553.4+228+2213.6+912)*0.5+(130.7+15+3+522.3+60+12)*0.3+11.9+9.7+4.8</f>
        <v>2202.8</v>
      </c>
      <c r="J9" s="11">
        <f t="shared" si="1"/>
        <v>0.4148399246704332</v>
      </c>
      <c r="K9" s="10">
        <f>24.5+24.5+231.6+326.2+18.5+18.5+15+15+9.5</f>
        <v>683.3</v>
      </c>
      <c r="L9" s="12">
        <f t="shared" si="2"/>
        <v>341.65</v>
      </c>
      <c r="M9" s="10">
        <f>77</f>
        <v>77</v>
      </c>
      <c r="N9" s="11">
        <f t="shared" si="3"/>
        <v>0.035471211014645745</v>
      </c>
      <c r="P9" s="20"/>
    </row>
    <row r="10" spans="1:16" ht="12.75">
      <c r="A10" s="8" t="s">
        <v>23</v>
      </c>
      <c r="B10" s="9" t="s">
        <v>24</v>
      </c>
      <c r="C10" s="22">
        <f>(67*2+67)/3+(35*2+34)/3</f>
        <v>101.66666666666666</v>
      </c>
      <c r="D10" s="22">
        <v>2942</v>
      </c>
      <c r="E10" s="22">
        <v>1</v>
      </c>
      <c r="F10" s="24">
        <v>4622.06757</v>
      </c>
      <c r="G10" s="10">
        <f>3650.5+1125.9+1065.9+328.8+461.1+616.3+134.6+180+52+15.7+36+217.5+34.6+9+5.9+3.5+47.5+7.4+165.7+48.4+13.5+0.6+(577+2308)*0.5+(52.8+26.8+211.2+107.4)*0.7+10</f>
        <v>9951.64</v>
      </c>
      <c r="H10" s="11">
        <f t="shared" si="0"/>
        <v>97.88498360655738</v>
      </c>
      <c r="I10" s="10">
        <f>(577+2308)*0.5+(52.8+26.8+211.2+107.4)*0.3+11.9+7.5</f>
        <v>1581.3600000000001</v>
      </c>
      <c r="J10" s="11">
        <f t="shared" si="1"/>
        <v>0.5375118966689327</v>
      </c>
      <c r="K10" s="10">
        <f>24.5+217.6+18.5+15+7.4</f>
        <v>283</v>
      </c>
      <c r="L10" s="12">
        <f t="shared" si="2"/>
        <v>283</v>
      </c>
      <c r="M10" s="10">
        <v>125</v>
      </c>
      <c r="N10" s="11">
        <f t="shared" si="3"/>
        <v>0.027044174085927523</v>
      </c>
      <c r="P10" s="20"/>
    </row>
    <row r="11" spans="1:16" ht="12.75">
      <c r="A11" s="8" t="s">
        <v>25</v>
      </c>
      <c r="B11" s="9" t="s">
        <v>26</v>
      </c>
      <c r="C11" s="22">
        <f>(154*2+155)/3+(9*2+11)/3</f>
        <v>164</v>
      </c>
      <c r="D11" s="22">
        <v>3885</v>
      </c>
      <c r="E11" s="22">
        <v>2</v>
      </c>
      <c r="F11" s="24">
        <v>4360.78</v>
      </c>
      <c r="G11" s="10">
        <f>5364.7+368.4+1566.5+107.6+750.7+347+219.2+101.3+107.8+32.6+102+294.2+5.5+13.6+1+47.8+2+331.5+96.8+31.4+0.6+(284+1137.1)*0.5+(100.4+25.7+401.8+103)*0.7+20.1</f>
        <v>11064.479999999998</v>
      </c>
      <c r="H11" s="11">
        <f t="shared" si="0"/>
        <v>67.46634146341462</v>
      </c>
      <c r="I11" s="10">
        <f>(284+1137.1)*0.5+(100.4+25.7+401.8+103)*0.3+11.9+2</f>
        <v>913.7199999999999</v>
      </c>
      <c r="J11" s="11">
        <f t="shared" si="1"/>
        <v>0.23519176319176316</v>
      </c>
      <c r="K11" s="10">
        <f>49+648.8+37+30+17</f>
        <v>781.8</v>
      </c>
      <c r="L11" s="12">
        <f t="shared" si="2"/>
        <v>390.9</v>
      </c>
      <c r="M11" s="10">
        <v>88</v>
      </c>
      <c r="N11" s="11">
        <f t="shared" si="3"/>
        <v>0.020179876077215546</v>
      </c>
      <c r="P11" s="20"/>
    </row>
    <row r="12" spans="1:16" ht="12.75">
      <c r="A12" s="8" t="s">
        <v>27</v>
      </c>
      <c r="B12" s="9" t="s">
        <v>28</v>
      </c>
      <c r="C12" s="22">
        <f>(199*2+202)/3+(41*2+41)/3+(6*2+5)/3+(19*2+19)/3</f>
        <v>265.66666666666663</v>
      </c>
      <c r="D12" s="22">
        <f>3725+1237+125</f>
        <v>5087</v>
      </c>
      <c r="E12" s="22">
        <v>2</v>
      </c>
      <c r="F12" s="24">
        <v>4331.44165</v>
      </c>
      <c r="G12" s="10">
        <f>5784.4+2475.5+439.9+741.7+1689+722.8+128.5+216.6+802+957.3+129.8+480.7+234.2+279.5+37.9+140.3+120.5+23.5+4+36.4+7.1+1.2+126+24+4.8+90+45+22.5+5.5+17.6+3.6+0.5+1.8+7+51.7+38.7+8.8+4.1+165.8+165.7+48.4+48.4+15.7+13.5+10+0.6+(466.2+131.4+8.8+6+1864.4+525.7+35.6+23.6)*0.5+(542+30.4+2168+121)*0.7+40.2+6.7</f>
        <v>19953.23</v>
      </c>
      <c r="H12" s="11">
        <f t="shared" si="0"/>
        <v>75.10626097867002</v>
      </c>
      <c r="I12" s="10">
        <f>(466.2+131.4+8.8+6+1864.4+525.7+35.6+23.6)*0.5+(542+30.4+2168+121)*0.3+12.9+9.7+2.1+4.1</f>
        <v>2418.0699999999997</v>
      </c>
      <c r="J12" s="11">
        <f t="shared" si="1"/>
        <v>0.4753430312561431</v>
      </c>
      <c r="K12" s="10">
        <f>24.5+24.5+104.1+357.4+18.5+18.5+15+15+20.7</f>
        <v>598.2</v>
      </c>
      <c r="L12" s="12">
        <f t="shared" si="2"/>
        <v>299.1</v>
      </c>
      <c r="M12" s="10">
        <v>156</v>
      </c>
      <c r="N12" s="11">
        <f t="shared" si="3"/>
        <v>0.036015722386563837</v>
      </c>
      <c r="P12" s="20"/>
    </row>
    <row r="13" spans="1:16" ht="12.75">
      <c r="A13" s="14" t="s">
        <v>29</v>
      </c>
      <c r="B13" s="15" t="s">
        <v>30</v>
      </c>
      <c r="C13" s="16">
        <f aca="true" t="shared" si="4" ref="C13:M13">SUM(C7:C12)</f>
        <v>1565.6666666666665</v>
      </c>
      <c r="D13" s="16">
        <f t="shared" si="4"/>
        <v>23951</v>
      </c>
      <c r="E13" s="16">
        <f t="shared" si="4"/>
        <v>10</v>
      </c>
      <c r="F13" s="16">
        <f t="shared" si="4"/>
        <v>37179.88367</v>
      </c>
      <c r="G13" s="16">
        <f t="shared" si="4"/>
        <v>93908.34</v>
      </c>
      <c r="H13" s="17">
        <f t="shared" si="0"/>
        <v>59.97977858207367</v>
      </c>
      <c r="I13" s="16">
        <f t="shared" si="4"/>
        <v>10169.260000000002</v>
      </c>
      <c r="J13" s="17">
        <f t="shared" si="1"/>
        <v>0.4245860298108639</v>
      </c>
      <c r="K13" s="16">
        <f t="shared" si="4"/>
        <v>3432.7</v>
      </c>
      <c r="L13" s="18">
        <f t="shared" si="2"/>
        <v>343.27</v>
      </c>
      <c r="M13" s="16">
        <f t="shared" si="4"/>
        <v>840</v>
      </c>
      <c r="N13" s="17">
        <f t="shared" si="3"/>
        <v>0.0225928625128482</v>
      </c>
      <c r="O13" s="13"/>
      <c r="P13" s="13"/>
    </row>
    <row r="14" spans="1:14" ht="7.5" customHeight="1">
      <c r="A14" s="8"/>
      <c r="B14" s="9"/>
      <c r="C14" s="23"/>
      <c r="D14" s="23"/>
      <c r="E14" s="23"/>
      <c r="F14" s="25"/>
      <c r="G14" s="10"/>
      <c r="H14" s="11"/>
      <c r="I14" s="10"/>
      <c r="J14" s="11"/>
      <c r="K14" s="10"/>
      <c r="L14" s="12"/>
      <c r="M14" s="10"/>
      <c r="N14" s="11"/>
    </row>
    <row r="15" spans="1:16" ht="12.75">
      <c r="A15" s="8" t="s">
        <v>31</v>
      </c>
      <c r="B15" s="9" t="s">
        <v>32</v>
      </c>
      <c r="C15" s="22">
        <f>(150*2+153)/3</f>
        <v>151</v>
      </c>
      <c r="D15" s="22">
        <v>1023</v>
      </c>
      <c r="E15" s="22">
        <v>0</v>
      </c>
      <c r="F15" s="24">
        <v>1662.364</v>
      </c>
      <c r="G15" s="10">
        <f>4592+1340.9+1878.1+548.4+177.8+265.7+16.1+29.3+0.6+(210.2+840.5)*0.5+(59.6+3.3+14+238+13.2+56)*0.7</f>
        <v>9643.12</v>
      </c>
      <c r="H15" s="11">
        <f aca="true" t="shared" si="5" ref="H15:H21">G15/C15</f>
        <v>63.86172185430464</v>
      </c>
      <c r="I15" s="10">
        <f>(210.2+840.5)*0.5+(59.6+3.3+14+238+13.2+56)*0.3+29.3</f>
        <v>669.88</v>
      </c>
      <c r="J15" s="11">
        <f t="shared" si="1"/>
        <v>0.6548191593352883</v>
      </c>
      <c r="K15" s="10">
        <v>0</v>
      </c>
      <c r="L15" s="12">
        <v>0</v>
      </c>
      <c r="M15" s="10">
        <v>37</v>
      </c>
      <c r="N15" s="11">
        <f t="shared" si="3"/>
        <v>0.022257459858370368</v>
      </c>
      <c r="P15" s="20"/>
    </row>
    <row r="16" spans="1:16" ht="12.75" customHeight="1">
      <c r="A16" s="8" t="s">
        <v>33</v>
      </c>
      <c r="B16" s="9" t="s">
        <v>34</v>
      </c>
      <c r="C16" s="22">
        <f>(232*2+232)/3</f>
        <v>232</v>
      </c>
      <c r="D16" s="22">
        <f>1263.1+568.7</f>
        <v>1831.8</v>
      </c>
      <c r="E16" s="22">
        <v>0</v>
      </c>
      <c r="F16" s="24">
        <v>19816.66169</v>
      </c>
      <c r="G16" s="10">
        <f>4881.5+1349.4+1425.4+394+2119.7+788.4+619+230.2+85.4+142.8+18.7+6.4+33.7+11.2+0.6+(357.8+380+1431.4+1520)*0.5+(132.9+45.9+20.2+531.7+183.6+79.8)*0.7</f>
        <v>14646.870000000003</v>
      </c>
      <c r="H16" s="11">
        <f t="shared" si="5"/>
        <v>63.1330603448276</v>
      </c>
      <c r="I16" s="10">
        <f>(357.8+380+1431.4+1520)*0.5+(132.9+45.9+20.2+531.7+183.6+79.8)*0.3+33.8+11.3</f>
        <v>2187.9300000000003</v>
      </c>
      <c r="J16" s="11">
        <f t="shared" si="1"/>
        <v>1.194415329184409</v>
      </c>
      <c r="K16" s="10">
        <v>0</v>
      </c>
      <c r="L16" s="12">
        <v>0</v>
      </c>
      <c r="M16" s="10">
        <v>437.5</v>
      </c>
      <c r="N16" s="11">
        <f t="shared" si="3"/>
        <v>0.02207738149058546</v>
      </c>
      <c r="P16" s="20"/>
    </row>
    <row r="17" spans="1:16" ht="12.75">
      <c r="A17" s="8" t="s">
        <v>35</v>
      </c>
      <c r="B17" s="9" t="s">
        <v>36</v>
      </c>
      <c r="C17" s="22">
        <f>(110*2+109)/3</f>
        <v>109.66666666666667</v>
      </c>
      <c r="D17" s="22">
        <v>1178</v>
      </c>
      <c r="E17" s="22">
        <v>0</v>
      </c>
      <c r="F17" s="24">
        <v>1634.08206</v>
      </c>
      <c r="G17" s="10">
        <f>4724+1379.4+1620.2+473.1+56.7+371.4+10.4+23.6+0.6+(248.6+994.4)*0.5+(68.7+10.9+12+274.9+41.5+48)*0.7</f>
        <v>9600.1</v>
      </c>
      <c r="H17" s="11">
        <f t="shared" si="5"/>
        <v>87.53890577507599</v>
      </c>
      <c r="I17" s="10">
        <f>(248.6+994.4)*0.5+(68.7+10.9+12+274.9+41.5+48)*0.3+23.5</f>
        <v>781.8</v>
      </c>
      <c r="J17" s="11">
        <f t="shared" si="1"/>
        <v>0.6636672325976231</v>
      </c>
      <c r="K17" s="10">
        <v>0</v>
      </c>
      <c r="L17" s="12">
        <v>0</v>
      </c>
      <c r="M17" s="10">
        <v>50</v>
      </c>
      <c r="N17" s="11">
        <f t="shared" si="3"/>
        <v>0.03059821854968532</v>
      </c>
      <c r="P17" s="20"/>
    </row>
    <row r="18" spans="1:16" ht="12.75">
      <c r="A18" s="8" t="s">
        <v>37</v>
      </c>
      <c r="B18" s="9" t="s">
        <v>38</v>
      </c>
      <c r="C18" s="22">
        <f>(63*2+66)/3</f>
        <v>64</v>
      </c>
      <c r="D18" s="22">
        <f>443.7+305.8</f>
        <v>749.5</v>
      </c>
      <c r="E18" s="22">
        <v>0</v>
      </c>
      <c r="F18" s="24">
        <v>354.922</v>
      </c>
      <c r="G18" s="10">
        <f>1339.3+1180.8+391.1+344.8+733.8+714.8+214.2+208.7+25.5+60.8+19.9+3.5+3.4+7.1+6.7+0.6+(426.4+40.4+1705.7+161.6)*0.5+(21.8+20+3.4+3+2+87.4+80+13.5+12.1+8)*0.7</f>
        <v>6597.89</v>
      </c>
      <c r="H18" s="11">
        <f t="shared" si="5"/>
        <v>103.09203125</v>
      </c>
      <c r="I18" s="10">
        <f>(426.4+40.4+1705.7+161.6)*0.5+(21.8+20+3.4+3+2+87.4+80+13.5+12.1+8)*0.3+7.1+6.6</f>
        <v>1256.1099999999997</v>
      </c>
      <c r="J18" s="11">
        <f t="shared" si="1"/>
        <v>1.6759306204136086</v>
      </c>
      <c r="K18" s="10">
        <v>0</v>
      </c>
      <c r="L18" s="12">
        <v>0</v>
      </c>
      <c r="M18" s="10">
        <f>10+8.9</f>
        <v>18.9</v>
      </c>
      <c r="N18" s="11">
        <f t="shared" si="3"/>
        <v>0.05325113686950935</v>
      </c>
      <c r="P18" s="20"/>
    </row>
    <row r="19" spans="1:16" ht="12.75">
      <c r="A19" s="8" t="s">
        <v>39</v>
      </c>
      <c r="B19" s="9" t="s">
        <v>40</v>
      </c>
      <c r="C19" s="22">
        <f>(98*2+86)/3</f>
        <v>94</v>
      </c>
      <c r="D19" s="22">
        <v>1790</v>
      </c>
      <c r="E19" s="22">
        <v>0</v>
      </c>
      <c r="F19" s="24">
        <v>76.01769</v>
      </c>
      <c r="G19" s="10">
        <f>3414.2+996.9+1273.9+372+93.4+19.9+9.8+20.1+0.6+(358.6+1434.4)*0.5+(39.8+36.4+159.2+145.6)*0.7</f>
        <v>7364</v>
      </c>
      <c r="H19" s="11">
        <f t="shared" si="5"/>
        <v>78.34042553191489</v>
      </c>
      <c r="I19" s="10">
        <f>(358.6+1434.4)*0.5+(39.8+36.4+159.2+145.6)*0.3+20.2</f>
        <v>1031</v>
      </c>
      <c r="J19" s="11">
        <f t="shared" si="1"/>
        <v>0.575977653631285</v>
      </c>
      <c r="K19" s="10">
        <v>0</v>
      </c>
      <c r="L19" s="12">
        <v>0</v>
      </c>
      <c r="M19" s="10">
        <v>3.3</v>
      </c>
      <c r="N19" s="11">
        <f t="shared" si="3"/>
        <v>0.0434109481621975</v>
      </c>
      <c r="P19" s="20"/>
    </row>
    <row r="20" spans="1:16" ht="12.75">
      <c r="A20" s="8" t="s">
        <v>41</v>
      </c>
      <c r="B20" s="9" t="s">
        <v>42</v>
      </c>
      <c r="C20" s="22">
        <f>(34*2+33)/3</f>
        <v>33.666666666666664</v>
      </c>
      <c r="D20" s="22">
        <v>459.8</v>
      </c>
      <c r="E20" s="22">
        <v>0</v>
      </c>
      <c r="F20" s="24">
        <v>0</v>
      </c>
      <c r="G20" s="10">
        <f>1402.6+409.6+870.2+254.1+36.6+8+3.4+7.2+0.6+(176+5+704+22)*0.7</f>
        <v>3627.1999999999994</v>
      </c>
      <c r="H20" s="11">
        <f t="shared" si="5"/>
        <v>107.73861386138613</v>
      </c>
      <c r="I20" s="10">
        <f>(176+5+704+22)*0.3+7.2</f>
        <v>279.29999999999995</v>
      </c>
      <c r="J20" s="11">
        <f t="shared" si="1"/>
        <v>0.6074380165289255</v>
      </c>
      <c r="K20" s="10">
        <v>0</v>
      </c>
      <c r="L20" s="12">
        <v>0</v>
      </c>
      <c r="M20" s="10">
        <v>0</v>
      </c>
      <c r="N20" s="11">
        <v>0</v>
      </c>
      <c r="P20" s="20"/>
    </row>
    <row r="21" spans="1:16" ht="12.75">
      <c r="A21" s="14" t="s">
        <v>43</v>
      </c>
      <c r="B21" s="15" t="s">
        <v>44</v>
      </c>
      <c r="C21" s="16">
        <f>SUM(C15:C20)</f>
        <v>684.3333333333334</v>
      </c>
      <c r="D21" s="16">
        <f>SUM(D15:D20)</f>
        <v>7032.1</v>
      </c>
      <c r="E21" s="16">
        <f>SUM(E15:E20)</f>
        <v>0</v>
      </c>
      <c r="F21" s="16">
        <f>SUM(F15:F20)</f>
        <v>23544.047440000002</v>
      </c>
      <c r="G21" s="16">
        <f>SUM(G15:G20)</f>
        <v>51479.18</v>
      </c>
      <c r="H21" s="17">
        <f t="shared" si="5"/>
        <v>75.22529956161715</v>
      </c>
      <c r="I21" s="16">
        <f>SUM(I15:I20)</f>
        <v>6206.02</v>
      </c>
      <c r="J21" s="17">
        <f t="shared" si="1"/>
        <v>0.8825272678147353</v>
      </c>
      <c r="K21" s="16">
        <f>SUM(K15:K20)</f>
        <v>0</v>
      </c>
      <c r="L21" s="18">
        <v>0</v>
      </c>
      <c r="M21" s="16">
        <f>SUM(M15:M20)</f>
        <v>546.6999999999999</v>
      </c>
      <c r="N21" s="17">
        <v>0</v>
      </c>
      <c r="O21" s="13"/>
      <c r="P21" s="13"/>
    </row>
    <row r="22" spans="1:16" ht="7.5" customHeight="1">
      <c r="A22" s="19"/>
      <c r="B22" s="9"/>
      <c r="C22" s="23"/>
      <c r="D22" s="23"/>
      <c r="E22" s="23"/>
      <c r="F22" s="25"/>
      <c r="G22" s="10"/>
      <c r="H22" s="11"/>
      <c r="I22" s="10"/>
      <c r="J22" s="11"/>
      <c r="K22" s="10"/>
      <c r="L22" s="12"/>
      <c r="M22" s="10"/>
      <c r="N22" s="11"/>
      <c r="P22" s="20"/>
    </row>
    <row r="23" spans="1:16" ht="12.75">
      <c r="A23" s="19" t="s">
        <v>45</v>
      </c>
      <c r="B23" s="9" t="s">
        <v>46</v>
      </c>
      <c r="C23" s="22">
        <v>324</v>
      </c>
      <c r="D23" s="22">
        <v>257.4</v>
      </c>
      <c r="E23" s="22">
        <v>0</v>
      </c>
      <c r="F23" s="24">
        <v>1134.30783</v>
      </c>
      <c r="G23" s="10">
        <f>2217.7+647.6+28.5+1.2+(87.4+349.4)*0.5+(13.6+3.4+54.4+13.4)*0.7</f>
        <v>3172.7599999999998</v>
      </c>
      <c r="H23" s="11">
        <f>G23/C23</f>
        <v>9.792469135802468</v>
      </c>
      <c r="I23" s="10">
        <f>(87.4+349.4)*0.5+(13.6+3.4+54.4+13.4)*0.3+28.5</f>
        <v>272.34</v>
      </c>
      <c r="J23" s="11">
        <f t="shared" si="1"/>
        <v>1.058041958041958</v>
      </c>
      <c r="K23" s="10">
        <v>0</v>
      </c>
      <c r="L23" s="12">
        <v>0</v>
      </c>
      <c r="M23" s="10">
        <v>25</v>
      </c>
      <c r="N23" s="11">
        <f t="shared" si="3"/>
        <v>0.022039872545003943</v>
      </c>
      <c r="P23" s="20"/>
    </row>
    <row r="24" spans="1:16" ht="12" customHeight="1">
      <c r="A24" s="19" t="s">
        <v>47</v>
      </c>
      <c r="B24" s="9" t="s">
        <v>48</v>
      </c>
      <c r="C24" s="22">
        <v>314</v>
      </c>
      <c r="D24" s="22">
        <v>903.4</v>
      </c>
      <c r="E24" s="22">
        <v>0</v>
      </c>
      <c r="F24" s="24">
        <v>43.72975</v>
      </c>
      <c r="G24" s="10">
        <f>1730.2+505.2+45.1+(265.8+1063.2)*0.5+(11.3+1.1+45.7+5.1)*0.7</f>
        <v>2989.24</v>
      </c>
      <c r="H24" s="11">
        <f>G24/C24</f>
        <v>9.519872611464967</v>
      </c>
      <c r="I24" s="10">
        <f>(265.8+1063.2)*0.5+(11.3+1.1+45.7+5.1)*0.3+45.1</f>
        <v>728.5600000000001</v>
      </c>
      <c r="J24" s="11">
        <f t="shared" si="1"/>
        <v>0.8064644675669693</v>
      </c>
      <c r="K24" s="10">
        <v>0</v>
      </c>
      <c r="L24" s="12">
        <v>0</v>
      </c>
      <c r="M24" s="10">
        <v>1.6</v>
      </c>
      <c r="N24" s="11">
        <f t="shared" si="3"/>
        <v>0.03658836375693893</v>
      </c>
      <c r="P24" s="20"/>
    </row>
    <row r="25" spans="1:16" ht="12.75">
      <c r="A25" s="19" t="s">
        <v>49</v>
      </c>
      <c r="B25" s="9" t="s">
        <v>50</v>
      </c>
      <c r="C25" s="22">
        <v>26</v>
      </c>
      <c r="D25" s="22">
        <v>0</v>
      </c>
      <c r="E25" s="22">
        <v>1</v>
      </c>
      <c r="F25" s="24">
        <v>428.80968</v>
      </c>
      <c r="G25" s="10">
        <f>299+2771+87.3+809.2+10.4+90.7</f>
        <v>4067.6</v>
      </c>
      <c r="H25" s="11">
        <f>G25/C25</f>
        <v>156.44615384615383</v>
      </c>
      <c r="I25" s="10">
        <v>0</v>
      </c>
      <c r="J25" s="11">
        <v>0</v>
      </c>
      <c r="K25" s="10">
        <v>212</v>
      </c>
      <c r="L25" s="12">
        <f>K25/E25</f>
        <v>212</v>
      </c>
      <c r="M25" s="10">
        <v>9.5</v>
      </c>
      <c r="N25" s="11">
        <f t="shared" si="3"/>
        <v>0.022154350620069957</v>
      </c>
      <c r="P25" s="20"/>
    </row>
    <row r="27" spans="7:9" ht="12.75">
      <c r="G27" t="s">
        <v>51</v>
      </c>
      <c r="I27" s="5"/>
    </row>
  </sheetData>
  <sheetProtection selectLockedCells="1" selectUnlockedCells="1"/>
  <mergeCells count="6">
    <mergeCell ref="L1:N1"/>
    <mergeCell ref="L2:N2"/>
    <mergeCell ref="A3:M3"/>
    <mergeCell ref="A4:A5"/>
    <mergeCell ref="B4:B5"/>
    <mergeCell ref="C4:N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КомОбр</dc:creator>
  <cp:keywords/>
  <dc:description/>
  <cp:lastModifiedBy>КомОбр</cp:lastModifiedBy>
  <cp:lastPrinted>2014-01-27T21:22:16Z</cp:lastPrinted>
  <dcterms:created xsi:type="dcterms:W3CDTF">2015-01-19T12:49:41Z</dcterms:created>
  <dcterms:modified xsi:type="dcterms:W3CDTF">2015-02-17T05:07:03Z</dcterms:modified>
  <cp:category/>
  <cp:version/>
  <cp:contentType/>
  <cp:contentStatus/>
</cp:coreProperties>
</file>